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40" windowHeight="11760"/>
  </bookViews>
  <sheets>
    <sheet name="部门预算预算内支出表(表一）" sheetId="7" r:id="rId1"/>
    <sheet name="人员经费表（表二）" sheetId="6" r:id="rId2"/>
  </sheets>
  <calcPr calcId="114210"/>
</workbook>
</file>

<file path=xl/calcChain.xml><?xml version="1.0" encoding="utf-8"?>
<calcChain xmlns="http://schemas.openxmlformats.org/spreadsheetml/2006/main">
  <c r="C19" i="7"/>
  <c r="C7"/>
  <c r="C14"/>
  <c r="C15"/>
  <c r="C16"/>
  <c r="C17"/>
  <c r="C18"/>
  <c r="P14"/>
  <c r="P15"/>
  <c r="P16"/>
  <c r="P17"/>
  <c r="P18"/>
  <c r="P19"/>
  <c r="P20"/>
  <c r="C20"/>
  <c r="U7"/>
  <c r="Q6" i="6"/>
  <c r="R6"/>
  <c r="T6"/>
  <c r="N11"/>
  <c r="O12" i="7"/>
  <c r="S9"/>
  <c r="R9"/>
  <c r="O9"/>
  <c r="N9"/>
  <c r="M9"/>
  <c r="L9"/>
  <c r="J9"/>
  <c r="I9"/>
  <c r="H9"/>
  <c r="G9"/>
  <c r="F9"/>
  <c r="D9"/>
  <c r="I8" i="6"/>
  <c r="H8"/>
  <c r="Z8"/>
  <c r="X8"/>
  <c r="W8"/>
  <c r="T8"/>
  <c r="S8"/>
  <c r="R8"/>
  <c r="Q8"/>
  <c r="N8"/>
  <c r="M8"/>
  <c r="L8"/>
  <c r="K8"/>
  <c r="G8"/>
  <c r="F8"/>
  <c r="E8"/>
  <c r="V8"/>
  <c r="Y8"/>
  <c r="C8"/>
  <c r="C7"/>
  <c r="R12" i="7"/>
  <c r="N12"/>
  <c r="M12"/>
  <c r="L12"/>
  <c r="K11" i="6"/>
  <c r="J12" i="7"/>
  <c r="I12"/>
  <c r="H12"/>
  <c r="G12"/>
  <c r="F12"/>
  <c r="D12"/>
  <c r="T11" i="6"/>
  <c r="W11"/>
  <c r="Z11"/>
  <c r="Y11"/>
  <c r="X11"/>
  <c r="V11"/>
  <c r="R11"/>
  <c r="Q11"/>
  <c r="G11"/>
  <c r="F11"/>
  <c r="E11"/>
  <c r="C11"/>
  <c r="R13" i="7"/>
  <c r="R11"/>
  <c r="S12"/>
  <c r="S11" i="6"/>
  <c r="M11"/>
  <c r="I11"/>
  <c r="L11"/>
  <c r="H11"/>
  <c r="S10" i="7"/>
  <c r="R10"/>
  <c r="Q10"/>
  <c r="O10"/>
  <c r="N10"/>
  <c r="M10"/>
  <c r="L10"/>
  <c r="J10"/>
  <c r="I10"/>
  <c r="H10"/>
  <c r="G10"/>
  <c r="F10"/>
  <c r="D10"/>
  <c r="N9" i="6"/>
  <c r="L9"/>
  <c r="T9"/>
  <c r="M9"/>
  <c r="K9"/>
  <c r="S9"/>
  <c r="Q9"/>
  <c r="I9"/>
  <c r="H9"/>
  <c r="G9"/>
  <c r="F9"/>
  <c r="E9"/>
  <c r="C9"/>
  <c r="M7" i="7"/>
  <c r="K10"/>
  <c r="K11"/>
  <c r="K12"/>
  <c r="K13"/>
  <c r="K14"/>
  <c r="K15"/>
  <c r="K16"/>
  <c r="K17"/>
  <c r="K18"/>
  <c r="K19"/>
  <c r="K20"/>
  <c r="K9"/>
  <c r="K8"/>
  <c r="Z7" i="6"/>
  <c r="Y7"/>
  <c r="X7"/>
  <c r="W7"/>
  <c r="V7"/>
  <c r="T7"/>
  <c r="S7"/>
  <c r="R7"/>
  <c r="Q7"/>
  <c r="N7"/>
  <c r="M7"/>
  <c r="L7"/>
  <c r="K7"/>
  <c r="I7"/>
  <c r="H7"/>
  <c r="G7"/>
  <c r="F7"/>
  <c r="E7"/>
  <c r="L6"/>
  <c r="J8"/>
  <c r="J9"/>
  <c r="J10"/>
  <c r="J11"/>
  <c r="J12"/>
  <c r="J7"/>
  <c r="W7" i="7"/>
  <c r="B20"/>
  <c r="B19"/>
  <c r="B18"/>
  <c r="B17"/>
  <c r="B16"/>
  <c r="B15"/>
  <c r="B14"/>
  <c r="V7"/>
  <c r="P13"/>
  <c r="C13"/>
  <c r="B13"/>
  <c r="P12"/>
  <c r="P11"/>
  <c r="P10"/>
  <c r="C10"/>
  <c r="B10"/>
  <c r="E13"/>
  <c r="E12"/>
  <c r="C12"/>
  <c r="B12"/>
  <c r="E11"/>
  <c r="C11"/>
  <c r="B11"/>
  <c r="E10"/>
  <c r="P12" i="6"/>
  <c r="O12"/>
  <c r="P11"/>
  <c r="O11"/>
  <c r="P10"/>
  <c r="P9"/>
  <c r="U12"/>
  <c r="U11"/>
  <c r="U10"/>
  <c r="U9"/>
  <c r="O10"/>
  <c r="O9"/>
  <c r="D12"/>
  <c r="D11"/>
  <c r="D10"/>
  <c r="D9"/>
  <c r="R7" i="7"/>
  <c r="P9"/>
  <c r="C9"/>
  <c r="B9"/>
  <c r="E9"/>
  <c r="D8" i="6"/>
  <c r="U8"/>
  <c r="P8"/>
  <c r="O8"/>
  <c r="D7" i="7"/>
  <c r="F7"/>
  <c r="G7"/>
  <c r="H7"/>
  <c r="I7"/>
  <c r="J7"/>
  <c r="L7"/>
  <c r="N7"/>
  <c r="O7"/>
  <c r="Q7"/>
  <c r="S7"/>
  <c r="T7"/>
  <c r="E8"/>
  <c r="K7"/>
  <c r="P8"/>
  <c r="C6" i="6"/>
  <c r="E6"/>
  <c r="F6"/>
  <c r="G6"/>
  <c r="H6"/>
  <c r="I6"/>
  <c r="K6"/>
  <c r="M6"/>
  <c r="N6"/>
  <c r="S6"/>
  <c r="V6"/>
  <c r="W6"/>
  <c r="X6"/>
  <c r="Y6"/>
  <c r="Z6"/>
  <c r="AA6"/>
  <c r="D7"/>
  <c r="J6"/>
  <c r="P7"/>
  <c r="U7"/>
  <c r="B10"/>
  <c r="B8"/>
  <c r="P6"/>
  <c r="P7" i="7"/>
  <c r="B11" i="6"/>
  <c r="C8" i="7"/>
  <c r="B8"/>
  <c r="B7"/>
  <c r="O7" i="6"/>
  <c r="O6"/>
  <c r="D6"/>
  <c r="E7" i="7"/>
  <c r="U6" i="6"/>
  <c r="B12"/>
  <c r="B9"/>
  <c r="B7"/>
  <c r="B6"/>
</calcChain>
</file>

<file path=xl/sharedStrings.xml><?xml version="1.0" encoding="utf-8"?>
<sst xmlns="http://schemas.openxmlformats.org/spreadsheetml/2006/main" count="90" uniqueCount="72">
  <si>
    <t>编制单位：财政所</t>
  </si>
  <si>
    <t>单位:万元</t>
  </si>
  <si>
    <t>单位名称（科目）</t>
  </si>
  <si>
    <t>总计</t>
  </si>
  <si>
    <t>预算内负担数</t>
  </si>
  <si>
    <t>基本支出</t>
  </si>
  <si>
    <t>项目　　支出</t>
  </si>
  <si>
    <t>合计</t>
  </si>
  <si>
    <t>基本   工资</t>
  </si>
  <si>
    <t>津贴补贴</t>
  </si>
  <si>
    <t>其他补贴</t>
  </si>
  <si>
    <t>社会保障费</t>
  </si>
  <si>
    <t>小计</t>
  </si>
  <si>
    <t>津补   贴</t>
  </si>
  <si>
    <t>通讯  费</t>
  </si>
  <si>
    <t>住房
补贴</t>
  </si>
  <si>
    <t>交通   费</t>
  </si>
  <si>
    <t>公积   金</t>
  </si>
  <si>
    <t>物业　　补贴</t>
  </si>
  <si>
    <t>基层　　补贴</t>
  </si>
  <si>
    <t>医疗   保险</t>
  </si>
  <si>
    <t>职业
年金</t>
  </si>
  <si>
    <t>养老保险</t>
  </si>
  <si>
    <t>退休    补贴</t>
  </si>
  <si>
    <t>抚恤金</t>
  </si>
  <si>
    <t>淅河政府</t>
  </si>
  <si>
    <t>人社中心</t>
  </si>
  <si>
    <t>国土</t>
  </si>
  <si>
    <t>林业</t>
  </si>
  <si>
    <t>文化服务中心</t>
  </si>
  <si>
    <t>农业服务中心</t>
  </si>
  <si>
    <t>水利服务中心</t>
  </si>
  <si>
    <t>农机服务中心</t>
  </si>
  <si>
    <t>计生服务中心</t>
  </si>
  <si>
    <t>编制单位：淅河财政所</t>
  </si>
  <si>
    <t>单位：万元</t>
  </si>
  <si>
    <t>社会保障缴费</t>
  </si>
  <si>
    <t>退休费</t>
  </si>
  <si>
    <t>抚恤    金</t>
  </si>
  <si>
    <t>小计　</t>
  </si>
  <si>
    <t>医疗保险</t>
  </si>
  <si>
    <t>在职</t>
  </si>
  <si>
    <t>退休</t>
  </si>
  <si>
    <t>政府</t>
  </si>
  <si>
    <t>财政     所</t>
  </si>
  <si>
    <t>人社     中心</t>
  </si>
  <si>
    <t>13月工资及奖励金</t>
    <phoneticPr fontId="6" type="noConversion"/>
  </si>
  <si>
    <t>动检站</t>
    <phoneticPr fontId="6" type="noConversion"/>
  </si>
  <si>
    <t>公用经费（预算内负担数）(含工会经费）</t>
    <phoneticPr fontId="6" type="noConversion"/>
  </si>
  <si>
    <t>其他</t>
    <phoneticPr fontId="6" type="noConversion"/>
  </si>
  <si>
    <t>交通费</t>
    <phoneticPr fontId="6" type="noConversion"/>
  </si>
  <si>
    <t>基本工资</t>
    <phoneticPr fontId="6" type="noConversion"/>
  </si>
  <si>
    <t>基层补贴</t>
    <phoneticPr fontId="6" type="noConversion"/>
  </si>
  <si>
    <t>物业补贴</t>
    <phoneticPr fontId="6" type="noConversion"/>
  </si>
  <si>
    <t>93工改及卫生费</t>
    <phoneticPr fontId="6" type="noConversion"/>
  </si>
  <si>
    <t>13个月工资及奖励金</t>
    <phoneticPr fontId="6" type="noConversion"/>
  </si>
  <si>
    <t>基本退休费</t>
    <phoneticPr fontId="6" type="noConversion"/>
  </si>
  <si>
    <t>物业补贴</t>
    <phoneticPr fontId="6" type="noConversion"/>
  </si>
  <si>
    <t>电话费</t>
    <phoneticPr fontId="6" type="noConversion"/>
  </si>
  <si>
    <t>津补贴</t>
    <phoneticPr fontId="6" type="noConversion"/>
  </si>
  <si>
    <t>养老保险</t>
    <phoneticPr fontId="6" type="noConversion"/>
  </si>
  <si>
    <t>公积金</t>
    <phoneticPr fontId="6" type="noConversion"/>
  </si>
  <si>
    <t>通讯费</t>
    <phoneticPr fontId="6" type="noConversion"/>
  </si>
  <si>
    <t>93工改及卫生费</t>
    <phoneticPr fontId="6" type="noConversion"/>
  </si>
  <si>
    <t>财政所</t>
    <phoneticPr fontId="6" type="noConversion"/>
  </si>
  <si>
    <t>动检站</t>
    <phoneticPr fontId="6" type="noConversion"/>
  </si>
  <si>
    <t>国土</t>
    <phoneticPr fontId="6" type="noConversion"/>
  </si>
  <si>
    <t>畜牧服务中心</t>
    <phoneticPr fontId="6" type="noConversion"/>
  </si>
  <si>
    <t>林业服务中心</t>
    <phoneticPr fontId="6" type="noConversion"/>
  </si>
  <si>
    <t>2017年人员经费预算表</t>
    <phoneticPr fontId="6" type="noConversion"/>
  </si>
  <si>
    <t>其他</t>
    <phoneticPr fontId="6" type="noConversion"/>
  </si>
  <si>
    <t>淅河镇2017年度部门预算预算内支出表</t>
    <phoneticPr fontId="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</si>
</sst>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25">
    <font>
      <sz val="12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4" fillId="23" borderId="9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176" fontId="6" fillId="0" borderId="11" xfId="0" applyNumberFormat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0" xfId="0" applyFont="1">
      <alignment vertical="center"/>
    </xf>
    <xf numFmtId="176" fontId="3" fillId="0" borderId="11" xfId="0" applyNumberFormat="1" applyFont="1" applyBorder="1">
      <alignment vertical="center"/>
    </xf>
    <xf numFmtId="176" fontId="3" fillId="0" borderId="11" xfId="32" applyNumberFormat="1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千位分隔" xfId="32" builtinId="3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"/>
  <sheetViews>
    <sheetView tabSelected="1" workbookViewId="0">
      <selection sqref="A1:W1"/>
    </sheetView>
  </sheetViews>
  <sheetFormatPr defaultColWidth="9" defaultRowHeight="14.25"/>
  <cols>
    <col min="1" max="1" width="10.875" style="15" customWidth="1"/>
    <col min="2" max="2" width="8.375" customWidth="1"/>
    <col min="3" max="3" width="8.5" customWidth="1"/>
    <col min="4" max="12" width="6.875" customWidth="1"/>
    <col min="13" max="13" width="6.375" customWidth="1"/>
    <col min="14" max="14" width="6.25" customWidth="1"/>
    <col min="15" max="20" width="6.875" customWidth="1"/>
    <col min="21" max="21" width="6.25" customWidth="1"/>
    <col min="22" max="22" width="7.25" customWidth="1"/>
    <col min="23" max="23" width="8" customWidth="1"/>
  </cols>
  <sheetData>
    <row r="1" spans="1:23" ht="33" customHeight="1">
      <c r="A1" s="21" t="s">
        <v>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18.75">
      <c r="A2" s="22" t="s">
        <v>0</v>
      </c>
      <c r="B2" s="22"/>
      <c r="C2" s="22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3" t="s">
        <v>1</v>
      </c>
      <c r="W2" s="23"/>
    </row>
    <row r="3" spans="1:23" ht="21" customHeight="1">
      <c r="A3" s="18" t="s">
        <v>2</v>
      </c>
      <c r="B3" s="19" t="s">
        <v>3</v>
      </c>
      <c r="C3" s="19" t="s">
        <v>4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 ht="21" customHeight="1">
      <c r="A4" s="18"/>
      <c r="B4" s="19"/>
      <c r="C4" s="20" t="s">
        <v>5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8" t="s">
        <v>48</v>
      </c>
      <c r="W4" s="20" t="s">
        <v>6</v>
      </c>
    </row>
    <row r="5" spans="1:23" ht="21" customHeight="1">
      <c r="A5" s="18"/>
      <c r="B5" s="19"/>
      <c r="C5" s="20" t="s">
        <v>7</v>
      </c>
      <c r="D5" s="20" t="s">
        <v>8</v>
      </c>
      <c r="E5" s="20" t="s">
        <v>9</v>
      </c>
      <c r="F5" s="20"/>
      <c r="G5" s="20"/>
      <c r="H5" s="20"/>
      <c r="I5" s="20"/>
      <c r="J5" s="20"/>
      <c r="K5" s="20" t="s">
        <v>10</v>
      </c>
      <c r="L5" s="20"/>
      <c r="M5" s="20"/>
      <c r="N5" s="20"/>
      <c r="O5" s="20" t="s">
        <v>46</v>
      </c>
      <c r="P5" s="20" t="s">
        <v>11</v>
      </c>
      <c r="Q5" s="20"/>
      <c r="R5" s="20"/>
      <c r="S5" s="20"/>
      <c r="T5" s="20"/>
      <c r="U5" s="20"/>
      <c r="V5" s="18"/>
      <c r="W5" s="20"/>
    </row>
    <row r="6" spans="1:23" ht="44.25" customHeight="1">
      <c r="A6" s="18"/>
      <c r="B6" s="19"/>
      <c r="C6" s="20"/>
      <c r="D6" s="20"/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12</v>
      </c>
      <c r="L6" s="11" t="s">
        <v>18</v>
      </c>
      <c r="M6" s="11" t="s">
        <v>63</v>
      </c>
      <c r="N6" s="11" t="s">
        <v>19</v>
      </c>
      <c r="O6" s="20"/>
      <c r="P6" s="11" t="s">
        <v>12</v>
      </c>
      <c r="Q6" s="11" t="s">
        <v>20</v>
      </c>
      <c r="R6" s="11" t="s">
        <v>21</v>
      </c>
      <c r="S6" s="11" t="s">
        <v>22</v>
      </c>
      <c r="T6" s="11" t="s">
        <v>23</v>
      </c>
      <c r="U6" s="11" t="s">
        <v>24</v>
      </c>
      <c r="V6" s="18"/>
      <c r="W6" s="20"/>
    </row>
    <row r="7" spans="1:23" ht="25.5" customHeight="1">
      <c r="A7" s="13" t="s">
        <v>7</v>
      </c>
      <c r="B7" s="16">
        <f>SUM(B8+B9+B10+B11+B12+B13+B14+B15+B16+B17+B18+B19+B20)</f>
        <v>3925.1343519999996</v>
      </c>
      <c r="C7" s="16">
        <f>SUM(C8+C9+C10+C11+C12+C13+C14+C15+C16+C17+C18+C20+C19)</f>
        <v>1564.5043519999997</v>
      </c>
      <c r="D7" s="7">
        <f t="shared" ref="D7:T7" si="0">SUM(D8+D9+D10+D11+D12+D13)</f>
        <v>214.76080000000002</v>
      </c>
      <c r="E7" s="16">
        <f t="shared" ref="E7:E13" si="1">SUM(F7:J7)</f>
        <v>309.03160000000003</v>
      </c>
      <c r="F7" s="16">
        <f t="shared" si="0"/>
        <v>170.90800000000002</v>
      </c>
      <c r="G7" s="16">
        <f t="shared" si="0"/>
        <v>12.488</v>
      </c>
      <c r="H7" s="16">
        <f t="shared" si="0"/>
        <v>13.6296</v>
      </c>
      <c r="I7" s="16">
        <f t="shared" si="0"/>
        <v>45.947999999999993</v>
      </c>
      <c r="J7" s="16">
        <f t="shared" si="0"/>
        <v>66.057999999999993</v>
      </c>
      <c r="K7" s="16">
        <f>SUM(K8:K20)</f>
        <v>52.837600000000002</v>
      </c>
      <c r="L7" s="16">
        <f>SUM(L8:L20)</f>
        <v>18.86</v>
      </c>
      <c r="M7" s="16">
        <f>SUM(M8:M20)</f>
        <v>5.5376000000000003</v>
      </c>
      <c r="N7" s="16">
        <f>SUM(N8:N20)</f>
        <v>28.439999999999998</v>
      </c>
      <c r="O7" s="16">
        <f t="shared" si="0"/>
        <v>362.50700000000001</v>
      </c>
      <c r="P7" s="16">
        <f t="shared" ref="P7:P20" si="2">SUM(Q7:U7)</f>
        <v>625.36735199999998</v>
      </c>
      <c r="Q7" s="16">
        <f t="shared" si="0"/>
        <v>69.639507999999992</v>
      </c>
      <c r="R7" s="16">
        <f t="shared" si="0"/>
        <v>44.358484000000004</v>
      </c>
      <c r="S7" s="16">
        <f t="shared" si="0"/>
        <v>112.24655999999997</v>
      </c>
      <c r="T7" s="16">
        <f t="shared" si="0"/>
        <v>344.72280000000001</v>
      </c>
      <c r="U7" s="16">
        <f>SUM(U8+U9+U10+U11+U12+U13+U14+U15+U16+U17+U18+U19+U20)</f>
        <v>54.4</v>
      </c>
      <c r="V7" s="16">
        <f>SUM(V8+V9+V10+V11+V12+V13+V14+V15+V16+V17+V18+V20)</f>
        <v>182.5</v>
      </c>
      <c r="W7" s="16">
        <f>SUM(W8:W20)</f>
        <v>2178.13</v>
      </c>
    </row>
    <row r="8" spans="1:23" ht="25.5" customHeight="1">
      <c r="A8" s="14" t="s">
        <v>25</v>
      </c>
      <c r="B8" s="16">
        <f t="shared" ref="B8:B20" si="3">SUM(C8+V8+W8)</f>
        <v>2853.025744</v>
      </c>
      <c r="C8" s="16">
        <f t="shared" ref="C8:C20" si="4">D8+E8+K8+O8+P8</f>
        <v>1030.8657439999999</v>
      </c>
      <c r="D8" s="16">
        <v>111.654</v>
      </c>
      <c r="E8" s="16">
        <f t="shared" si="1"/>
        <v>181.6848</v>
      </c>
      <c r="F8" s="16">
        <v>92.998800000000003</v>
      </c>
      <c r="G8" s="16">
        <v>7.1639999999999997</v>
      </c>
      <c r="H8" s="16">
        <v>7.6631999999999998</v>
      </c>
      <c r="I8" s="16">
        <v>37.067999999999998</v>
      </c>
      <c r="J8" s="16">
        <v>36.790799999999997</v>
      </c>
      <c r="K8" s="16">
        <f>L8+M8+N8</f>
        <v>29.102399999999999</v>
      </c>
      <c r="L8" s="16">
        <v>10.176</v>
      </c>
      <c r="M8" s="16">
        <v>3.0863999999999998</v>
      </c>
      <c r="N8" s="16">
        <v>15.84</v>
      </c>
      <c r="O8" s="16">
        <v>233.3655</v>
      </c>
      <c r="P8" s="16">
        <f t="shared" si="2"/>
        <v>475.05904400000003</v>
      </c>
      <c r="Q8" s="16">
        <v>48.443507999999994</v>
      </c>
      <c r="R8" s="16">
        <v>25.737696000000003</v>
      </c>
      <c r="S8" s="16">
        <v>64.344239999999985</v>
      </c>
      <c r="T8" s="16">
        <v>288.03360000000004</v>
      </c>
      <c r="U8" s="16">
        <v>48.5</v>
      </c>
      <c r="V8" s="16">
        <v>110</v>
      </c>
      <c r="W8" s="16">
        <v>1712.16</v>
      </c>
    </row>
    <row r="9" spans="1:23" ht="25.5" customHeight="1">
      <c r="A9" s="14" t="s">
        <v>64</v>
      </c>
      <c r="B9" s="16">
        <f t="shared" si="3"/>
        <v>499.08420000000001</v>
      </c>
      <c r="C9" s="16">
        <f t="shared" si="4"/>
        <v>374.08420000000001</v>
      </c>
      <c r="D9" s="7">
        <f>57769*12/10000</f>
        <v>69.322800000000001</v>
      </c>
      <c r="E9" s="7">
        <f t="shared" si="1"/>
        <v>88.067999999999998</v>
      </c>
      <c r="F9" s="7">
        <f>44790*12/10000</f>
        <v>53.747999999999998</v>
      </c>
      <c r="G9" s="7">
        <f>2980*12/10000</f>
        <v>3.5760000000000001</v>
      </c>
      <c r="H9" s="7">
        <f>3424*12/10000</f>
        <v>4.1087999999999996</v>
      </c>
      <c r="I9" s="7">
        <f>5200*12/10000</f>
        <v>6.24</v>
      </c>
      <c r="J9" s="7">
        <f>16996*12/10000</f>
        <v>20.395199999999999</v>
      </c>
      <c r="K9" s="16">
        <f>L9+M9+N9</f>
        <v>16.823999999999998</v>
      </c>
      <c r="L9" s="7">
        <f>5000*12/10000</f>
        <v>6</v>
      </c>
      <c r="M9" s="7">
        <f>1520*12/10000</f>
        <v>1.8240000000000001</v>
      </c>
      <c r="N9" s="7">
        <f>7500*12/10000</f>
        <v>9</v>
      </c>
      <c r="O9" s="7">
        <f>959090/10000</f>
        <v>95.909000000000006</v>
      </c>
      <c r="P9" s="16">
        <f t="shared" si="2"/>
        <v>103.96039999999999</v>
      </c>
      <c r="Q9" s="16">
        <v>16.407600000000002</v>
      </c>
      <c r="R9" s="7">
        <f>10553*12/10000</f>
        <v>12.663600000000001</v>
      </c>
      <c r="S9" s="7">
        <f>26384*12/10000</f>
        <v>31.660799999999998</v>
      </c>
      <c r="T9" s="7">
        <v>40.628399999999999</v>
      </c>
      <c r="U9" s="16">
        <v>2.6</v>
      </c>
      <c r="V9" s="16">
        <v>65</v>
      </c>
      <c r="W9" s="17">
        <v>60</v>
      </c>
    </row>
    <row r="10" spans="1:23" ht="25.5" customHeight="1">
      <c r="A10" s="14" t="s">
        <v>26</v>
      </c>
      <c r="B10" s="16">
        <f t="shared" si="3"/>
        <v>74.51039999999999</v>
      </c>
      <c r="C10" s="16">
        <f t="shared" si="4"/>
        <v>38.020399999999995</v>
      </c>
      <c r="D10" s="7">
        <f>7584*12/10000</f>
        <v>9.1007999999999996</v>
      </c>
      <c r="E10" s="7">
        <f t="shared" si="1"/>
        <v>10.458</v>
      </c>
      <c r="F10" s="7">
        <f>5313*12/10000</f>
        <v>6.3756000000000004</v>
      </c>
      <c r="G10" s="7">
        <f>300*12/10000</f>
        <v>0.36</v>
      </c>
      <c r="H10" s="7">
        <f>432*12/10000</f>
        <v>0.51839999999999997</v>
      </c>
      <c r="I10" s="7">
        <f>600*12/10000</f>
        <v>0.72</v>
      </c>
      <c r="J10" s="7">
        <f>2070*12/10000</f>
        <v>2.484</v>
      </c>
      <c r="K10" s="16">
        <f t="shared" ref="K10:K20" si="5">L10+M10+N10</f>
        <v>2.0015999999999998</v>
      </c>
      <c r="L10" s="7">
        <f>600*12/10000</f>
        <v>0.72</v>
      </c>
      <c r="M10" s="7">
        <f>168*12/10000</f>
        <v>0.2016</v>
      </c>
      <c r="N10" s="7">
        <f>900*12/10000</f>
        <v>1.08</v>
      </c>
      <c r="O10" s="7">
        <f>95408/10000</f>
        <v>9.5408000000000008</v>
      </c>
      <c r="P10" s="16">
        <f t="shared" si="2"/>
        <v>6.9192</v>
      </c>
      <c r="Q10" s="7">
        <f>1152*12/10000</f>
        <v>1.3824000000000001</v>
      </c>
      <c r="R10" s="7">
        <f>1320*12/10000</f>
        <v>1.5840000000000001</v>
      </c>
      <c r="S10" s="7">
        <f>3294*12/10000</f>
        <v>3.9527999999999999</v>
      </c>
      <c r="T10" s="16"/>
      <c r="U10" s="16"/>
      <c r="V10" s="17">
        <v>7.5</v>
      </c>
      <c r="W10" s="16">
        <v>28.99</v>
      </c>
    </row>
    <row r="11" spans="1:23" ht="25.5" customHeight="1">
      <c r="A11" s="14" t="s">
        <v>65</v>
      </c>
      <c r="B11" s="16">
        <f t="shared" si="3"/>
        <v>25.841899999999995</v>
      </c>
      <c r="C11" s="16">
        <f t="shared" si="4"/>
        <v>25.841899999999995</v>
      </c>
      <c r="D11" s="7">
        <v>6.62</v>
      </c>
      <c r="E11" s="7">
        <f t="shared" si="1"/>
        <v>7.0299999999999994</v>
      </c>
      <c r="F11" s="7">
        <v>4.58</v>
      </c>
      <c r="G11" s="7">
        <v>0.24</v>
      </c>
      <c r="H11" s="7">
        <v>0.3</v>
      </c>
      <c r="I11" s="7">
        <v>0.48</v>
      </c>
      <c r="J11" s="7">
        <v>1.43</v>
      </c>
      <c r="K11" s="16">
        <f t="shared" si="5"/>
        <v>1.2</v>
      </c>
      <c r="L11" s="7">
        <v>0.48</v>
      </c>
      <c r="M11" s="16"/>
      <c r="N11" s="7">
        <v>0.72</v>
      </c>
      <c r="O11" s="7">
        <v>5.67</v>
      </c>
      <c r="P11" s="16">
        <f t="shared" si="2"/>
        <v>5.3218999999999994</v>
      </c>
      <c r="Q11" s="7">
        <v>0.96</v>
      </c>
      <c r="R11" s="7">
        <f>10919/10000</f>
        <v>1.0919000000000001</v>
      </c>
      <c r="S11" s="7">
        <v>3.27</v>
      </c>
      <c r="T11" s="16"/>
      <c r="U11" s="16"/>
      <c r="V11" s="16"/>
      <c r="W11" s="16"/>
    </row>
    <row r="12" spans="1:23" ht="25.5" customHeight="1">
      <c r="A12" s="14" t="s">
        <v>66</v>
      </c>
      <c r="B12" s="16">
        <f t="shared" si="3"/>
        <v>48.592307999999996</v>
      </c>
      <c r="C12" s="16">
        <f t="shared" si="4"/>
        <v>48.592307999999996</v>
      </c>
      <c r="D12" s="7">
        <f>6836*12/10000</f>
        <v>8.2032000000000007</v>
      </c>
      <c r="E12" s="7">
        <f t="shared" si="1"/>
        <v>10.720800000000001</v>
      </c>
      <c r="F12" s="7">
        <f>5388*12/10000</f>
        <v>6.4656000000000002</v>
      </c>
      <c r="G12" s="7">
        <f>540*12/10000</f>
        <v>0.64800000000000002</v>
      </c>
      <c r="H12" s="7">
        <f>416*12/10000</f>
        <v>0.49919999999999998</v>
      </c>
      <c r="I12" s="7">
        <f>600*12/10000</f>
        <v>0.72</v>
      </c>
      <c r="J12" s="7">
        <f>1990*12/10000</f>
        <v>2.3879999999999999</v>
      </c>
      <c r="K12" s="16">
        <f t="shared" si="5"/>
        <v>1.6896</v>
      </c>
      <c r="L12" s="7">
        <f>620*12/10000</f>
        <v>0.74399999999999999</v>
      </c>
      <c r="M12" s="7">
        <f>188*12/10000</f>
        <v>0.22559999999999999</v>
      </c>
      <c r="N12" s="7">
        <f>600*12/10000</f>
        <v>0.72</v>
      </c>
      <c r="O12" s="7">
        <f>92817/10000</f>
        <v>9.2817000000000007</v>
      </c>
      <c r="P12" s="16">
        <f t="shared" si="2"/>
        <v>18.697007999999997</v>
      </c>
      <c r="Q12" s="7">
        <v>0.96599999999999997</v>
      </c>
      <c r="R12" s="7">
        <f>1326.24*12/10000</f>
        <v>1.591488</v>
      </c>
      <c r="S12" s="7">
        <f>3315.6*12/10000</f>
        <v>3.9787199999999996</v>
      </c>
      <c r="T12" s="7">
        <v>12.160799999999998</v>
      </c>
      <c r="U12" s="16"/>
      <c r="V12" s="16"/>
      <c r="W12" s="16"/>
    </row>
    <row r="13" spans="1:23" ht="25.5" customHeight="1">
      <c r="A13" s="14" t="s">
        <v>28</v>
      </c>
      <c r="B13" s="16">
        <f t="shared" si="3"/>
        <v>58.799799999999998</v>
      </c>
      <c r="C13" s="16">
        <f t="shared" si="4"/>
        <v>43.799799999999998</v>
      </c>
      <c r="D13" s="7">
        <v>9.86</v>
      </c>
      <c r="E13" s="7">
        <f t="shared" si="1"/>
        <v>11.07</v>
      </c>
      <c r="F13" s="7">
        <v>6.74</v>
      </c>
      <c r="G13" s="7">
        <v>0.5</v>
      </c>
      <c r="H13" s="7">
        <v>0.54</v>
      </c>
      <c r="I13" s="7">
        <v>0.72</v>
      </c>
      <c r="J13" s="7">
        <v>2.57</v>
      </c>
      <c r="K13" s="16">
        <f t="shared" si="5"/>
        <v>2.02</v>
      </c>
      <c r="L13" s="7">
        <v>0.74</v>
      </c>
      <c r="M13" s="7">
        <v>0.2</v>
      </c>
      <c r="N13" s="7">
        <v>1.08</v>
      </c>
      <c r="O13" s="7">
        <v>8.74</v>
      </c>
      <c r="P13" s="16">
        <f t="shared" si="2"/>
        <v>12.1098</v>
      </c>
      <c r="Q13" s="7">
        <v>1.48</v>
      </c>
      <c r="R13" s="7">
        <f>16898/10000</f>
        <v>1.6898</v>
      </c>
      <c r="S13" s="7">
        <v>5.04</v>
      </c>
      <c r="T13" s="7">
        <v>3.9</v>
      </c>
      <c r="U13" s="16"/>
      <c r="V13" s="16"/>
      <c r="W13" s="16">
        <v>15</v>
      </c>
    </row>
    <row r="14" spans="1:23" ht="25.5" customHeight="1">
      <c r="A14" s="14" t="s">
        <v>29</v>
      </c>
      <c r="B14" s="16">
        <f t="shared" si="3"/>
        <v>52.96</v>
      </c>
      <c r="C14" s="16">
        <f t="shared" si="4"/>
        <v>0</v>
      </c>
      <c r="D14" s="16"/>
      <c r="E14" s="16"/>
      <c r="F14" s="16"/>
      <c r="G14" s="16"/>
      <c r="H14" s="16"/>
      <c r="I14" s="16"/>
      <c r="J14" s="16"/>
      <c r="K14" s="16">
        <f t="shared" si="5"/>
        <v>0</v>
      </c>
      <c r="L14" s="16"/>
      <c r="M14" s="16"/>
      <c r="N14" s="16"/>
      <c r="O14" s="16"/>
      <c r="P14" s="16">
        <f t="shared" si="2"/>
        <v>0</v>
      </c>
      <c r="Q14" s="16"/>
      <c r="R14" s="16"/>
      <c r="S14" s="16"/>
      <c r="T14" s="16"/>
      <c r="U14" s="16"/>
      <c r="V14" s="16"/>
      <c r="W14" s="16">
        <v>52.96</v>
      </c>
    </row>
    <row r="15" spans="1:23" ht="25.5" customHeight="1">
      <c r="A15" s="14" t="s">
        <v>30</v>
      </c>
      <c r="B15" s="16">
        <f t="shared" si="3"/>
        <v>29.92</v>
      </c>
      <c r="C15" s="16">
        <f t="shared" si="4"/>
        <v>0</v>
      </c>
      <c r="D15" s="16"/>
      <c r="E15" s="16"/>
      <c r="F15" s="16"/>
      <c r="G15" s="16"/>
      <c r="H15" s="16"/>
      <c r="I15" s="16"/>
      <c r="J15" s="16"/>
      <c r="K15" s="16">
        <f t="shared" si="5"/>
        <v>0</v>
      </c>
      <c r="L15" s="16"/>
      <c r="M15" s="16"/>
      <c r="N15" s="16"/>
      <c r="O15" s="16"/>
      <c r="P15" s="16">
        <f t="shared" si="2"/>
        <v>0</v>
      </c>
      <c r="Q15" s="16"/>
      <c r="R15" s="16"/>
      <c r="S15" s="16"/>
      <c r="T15" s="16"/>
      <c r="U15" s="16"/>
      <c r="V15" s="16"/>
      <c r="W15" s="16">
        <v>29.92</v>
      </c>
    </row>
    <row r="16" spans="1:23" ht="25.5" customHeight="1">
      <c r="A16" s="14" t="s">
        <v>31</v>
      </c>
      <c r="B16" s="16">
        <f t="shared" si="3"/>
        <v>14.75</v>
      </c>
      <c r="C16" s="16">
        <f t="shared" si="4"/>
        <v>0</v>
      </c>
      <c r="D16" s="16"/>
      <c r="E16" s="16"/>
      <c r="F16" s="16"/>
      <c r="G16" s="16"/>
      <c r="H16" s="16"/>
      <c r="I16" s="16"/>
      <c r="J16" s="16"/>
      <c r="K16" s="16">
        <f t="shared" si="5"/>
        <v>0</v>
      </c>
      <c r="L16" s="16"/>
      <c r="M16" s="16"/>
      <c r="N16" s="16"/>
      <c r="O16" s="16"/>
      <c r="P16" s="16">
        <f t="shared" si="2"/>
        <v>0</v>
      </c>
      <c r="Q16" s="16"/>
      <c r="R16" s="16"/>
      <c r="S16" s="16"/>
      <c r="T16" s="16"/>
      <c r="U16" s="16"/>
      <c r="V16" s="16"/>
      <c r="W16" s="16">
        <v>14.75</v>
      </c>
    </row>
    <row r="17" spans="1:23" ht="25.5" customHeight="1">
      <c r="A17" s="14" t="s">
        <v>32</v>
      </c>
      <c r="B17" s="16">
        <f t="shared" si="3"/>
        <v>15.73</v>
      </c>
      <c r="C17" s="16">
        <f t="shared" si="4"/>
        <v>0</v>
      </c>
      <c r="D17" s="16"/>
      <c r="E17" s="16"/>
      <c r="F17" s="16"/>
      <c r="G17" s="16"/>
      <c r="H17" s="16"/>
      <c r="I17" s="16"/>
      <c r="J17" s="16"/>
      <c r="K17" s="16">
        <f t="shared" si="5"/>
        <v>0</v>
      </c>
      <c r="L17" s="16"/>
      <c r="M17" s="16"/>
      <c r="N17" s="16"/>
      <c r="O17" s="16"/>
      <c r="P17" s="16">
        <f t="shared" si="2"/>
        <v>0</v>
      </c>
      <c r="Q17" s="16"/>
      <c r="R17" s="16"/>
      <c r="S17" s="16"/>
      <c r="T17" s="16"/>
      <c r="U17" s="16"/>
      <c r="V17" s="16"/>
      <c r="W17" s="16">
        <v>15.73</v>
      </c>
    </row>
    <row r="18" spans="1:23" ht="25.5" customHeight="1">
      <c r="A18" s="14" t="s">
        <v>67</v>
      </c>
      <c r="B18" s="16">
        <f t="shared" si="3"/>
        <v>100.14</v>
      </c>
      <c r="C18" s="16">
        <f t="shared" si="4"/>
        <v>1.86</v>
      </c>
      <c r="D18" s="16"/>
      <c r="E18" s="16"/>
      <c r="F18" s="16"/>
      <c r="G18" s="16"/>
      <c r="H18" s="16"/>
      <c r="I18" s="16"/>
      <c r="J18" s="16"/>
      <c r="K18" s="16">
        <f t="shared" si="5"/>
        <v>0</v>
      </c>
      <c r="L18" s="16"/>
      <c r="M18" s="16"/>
      <c r="N18" s="16"/>
      <c r="O18" s="16"/>
      <c r="P18" s="16">
        <f t="shared" si="2"/>
        <v>1.86</v>
      </c>
      <c r="Q18" s="16"/>
      <c r="R18" s="16"/>
      <c r="S18" s="16"/>
      <c r="T18" s="16"/>
      <c r="U18" s="16">
        <v>1.86</v>
      </c>
      <c r="V18" s="16"/>
      <c r="W18" s="16">
        <v>98.28</v>
      </c>
    </row>
    <row r="19" spans="1:23" ht="25.5" customHeight="1">
      <c r="A19" s="14" t="s">
        <v>33</v>
      </c>
      <c r="B19" s="16">
        <f t="shared" si="3"/>
        <v>142.34</v>
      </c>
      <c r="C19" s="16">
        <f>D19+E19+K19+O19+P19</f>
        <v>0.72</v>
      </c>
      <c r="D19" s="16"/>
      <c r="E19" s="16"/>
      <c r="F19" s="16"/>
      <c r="G19" s="16"/>
      <c r="H19" s="16"/>
      <c r="I19" s="16"/>
      <c r="J19" s="16"/>
      <c r="K19" s="16">
        <f t="shared" si="5"/>
        <v>0</v>
      </c>
      <c r="L19" s="16"/>
      <c r="M19" s="16"/>
      <c r="N19" s="16"/>
      <c r="O19" s="16"/>
      <c r="P19" s="16">
        <f t="shared" si="2"/>
        <v>0.72</v>
      </c>
      <c r="Q19" s="16"/>
      <c r="R19" s="16"/>
      <c r="S19" s="16"/>
      <c r="T19" s="16"/>
      <c r="U19" s="16">
        <v>0.72</v>
      </c>
      <c r="V19" s="16"/>
      <c r="W19" s="16">
        <v>141.62</v>
      </c>
    </row>
    <row r="20" spans="1:23" ht="25.5" customHeight="1">
      <c r="A20" s="14" t="s">
        <v>68</v>
      </c>
      <c r="B20" s="16">
        <f t="shared" si="3"/>
        <v>9.4400000000000013</v>
      </c>
      <c r="C20" s="16">
        <f t="shared" si="4"/>
        <v>0.72</v>
      </c>
      <c r="D20" s="16"/>
      <c r="E20" s="16"/>
      <c r="F20" s="16"/>
      <c r="G20" s="16"/>
      <c r="H20" s="16"/>
      <c r="I20" s="16"/>
      <c r="J20" s="16"/>
      <c r="K20" s="16">
        <f t="shared" si="5"/>
        <v>0</v>
      </c>
      <c r="L20" s="16"/>
      <c r="M20" s="16"/>
      <c r="N20" s="16"/>
      <c r="O20" s="16"/>
      <c r="P20" s="16">
        <f t="shared" si="2"/>
        <v>0.72</v>
      </c>
      <c r="Q20" s="16"/>
      <c r="R20" s="16"/>
      <c r="S20" s="16"/>
      <c r="T20" s="16"/>
      <c r="U20" s="16">
        <v>0.72</v>
      </c>
      <c r="V20" s="16"/>
      <c r="W20" s="16">
        <v>8.7200000000000006</v>
      </c>
    </row>
  </sheetData>
  <mergeCells count="15">
    <mergeCell ref="A1:W1"/>
    <mergeCell ref="A2:C2"/>
    <mergeCell ref="V2:W2"/>
    <mergeCell ref="C3:W3"/>
    <mergeCell ref="C4:U4"/>
    <mergeCell ref="E5:J5"/>
    <mergeCell ref="K5:N5"/>
    <mergeCell ref="P5:U5"/>
    <mergeCell ref="A3:A6"/>
    <mergeCell ref="V4:V6"/>
    <mergeCell ref="B3:B6"/>
    <mergeCell ref="C5:C6"/>
    <mergeCell ref="D5:D6"/>
    <mergeCell ref="O5:O6"/>
    <mergeCell ref="W4:W6"/>
  </mergeCells>
  <phoneticPr fontId="6" type="noConversion"/>
  <printOptions horizontalCentered="1"/>
  <pageMargins left="0.39370078740157483" right="0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7"/>
  <sheetViews>
    <sheetView workbookViewId="0">
      <selection activeCell="B13" sqref="B13"/>
    </sheetView>
  </sheetViews>
  <sheetFormatPr defaultColWidth="9" defaultRowHeight="14.25"/>
  <cols>
    <col min="1" max="1" width="5.375" customWidth="1"/>
    <col min="2" max="2" width="7.625" customWidth="1"/>
    <col min="3" max="3" width="7.125" customWidth="1"/>
    <col min="4" max="4" width="6.75" customWidth="1"/>
    <col min="5" max="5" width="7" customWidth="1"/>
    <col min="6" max="13" width="6.25" customWidth="1"/>
    <col min="14" max="15" width="6.875" customWidth="1"/>
    <col min="16" max="18" width="6.25" customWidth="1"/>
    <col min="19" max="19" width="6.875" customWidth="1"/>
    <col min="20" max="20" width="6.25" customWidth="1"/>
    <col min="21" max="22" width="6.875" customWidth="1"/>
    <col min="23" max="23" width="6.75" customWidth="1"/>
    <col min="24" max="27" width="6.25" customWidth="1"/>
    <col min="28" max="28" width="3.625" customWidth="1"/>
  </cols>
  <sheetData>
    <row r="1" spans="1:28" ht="35.25" customHeight="1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0.25">
      <c r="A2" s="2" t="s">
        <v>34</v>
      </c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P2" s="4"/>
      <c r="Q2" s="4"/>
      <c r="R2" s="4"/>
      <c r="S2" s="4"/>
      <c r="T2" s="4"/>
      <c r="U2" s="4"/>
      <c r="V2" s="4"/>
      <c r="W2" s="4"/>
      <c r="X2" s="4"/>
      <c r="Y2" s="8" t="s">
        <v>35</v>
      </c>
      <c r="Z2" s="8"/>
      <c r="AA2" s="9"/>
    </row>
    <row r="3" spans="1:28" s="1" customFormat="1" ht="30" customHeight="1">
      <c r="A3" s="24" t="s">
        <v>2</v>
      </c>
      <c r="B3" s="36" t="s">
        <v>7</v>
      </c>
      <c r="C3" s="24" t="s">
        <v>51</v>
      </c>
      <c r="D3" s="28" t="s">
        <v>9</v>
      </c>
      <c r="E3" s="29"/>
      <c r="F3" s="29"/>
      <c r="G3" s="29"/>
      <c r="H3" s="29"/>
      <c r="I3" s="29"/>
      <c r="J3" s="29"/>
      <c r="K3" s="29"/>
      <c r="L3" s="29"/>
      <c r="M3" s="30"/>
      <c r="N3" s="39" t="s">
        <v>55</v>
      </c>
      <c r="O3" s="28" t="s">
        <v>36</v>
      </c>
      <c r="P3" s="29"/>
      <c r="Q3" s="29"/>
      <c r="R3" s="29"/>
      <c r="S3" s="29"/>
      <c r="T3" s="30"/>
      <c r="U3" s="27" t="s">
        <v>37</v>
      </c>
      <c r="V3" s="27"/>
      <c r="W3" s="27"/>
      <c r="X3" s="27"/>
      <c r="Y3" s="27"/>
      <c r="Z3" s="27"/>
      <c r="AA3" s="24" t="s">
        <v>38</v>
      </c>
      <c r="AB3" s="24" t="s">
        <v>49</v>
      </c>
    </row>
    <row r="4" spans="1:28" s="1" customFormat="1" ht="30" customHeight="1">
      <c r="A4" s="25"/>
      <c r="B4" s="37"/>
      <c r="C4" s="25"/>
      <c r="D4" s="31" t="s">
        <v>9</v>
      </c>
      <c r="E4" s="32"/>
      <c r="F4" s="32"/>
      <c r="G4" s="32"/>
      <c r="H4" s="32"/>
      <c r="I4" s="33"/>
      <c r="J4" s="28" t="s">
        <v>10</v>
      </c>
      <c r="K4" s="29"/>
      <c r="L4" s="29"/>
      <c r="M4" s="30"/>
      <c r="N4" s="39"/>
      <c r="O4" s="27" t="s">
        <v>39</v>
      </c>
      <c r="P4" s="34" t="s">
        <v>40</v>
      </c>
      <c r="Q4" s="35"/>
      <c r="R4" s="35"/>
      <c r="S4" s="24" t="s">
        <v>60</v>
      </c>
      <c r="T4" s="24" t="s">
        <v>21</v>
      </c>
      <c r="U4" s="27"/>
      <c r="V4" s="27"/>
      <c r="W4" s="27"/>
      <c r="X4" s="27"/>
      <c r="Y4" s="27"/>
      <c r="Z4" s="27"/>
      <c r="AA4" s="25"/>
      <c r="AB4" s="25"/>
    </row>
    <row r="5" spans="1:28" s="1" customFormat="1" ht="39.75" customHeight="1">
      <c r="A5" s="26"/>
      <c r="B5" s="38"/>
      <c r="C5" s="26"/>
      <c r="D5" s="5" t="s">
        <v>12</v>
      </c>
      <c r="E5" s="5" t="s">
        <v>59</v>
      </c>
      <c r="F5" s="5" t="s">
        <v>62</v>
      </c>
      <c r="G5" s="5" t="s">
        <v>15</v>
      </c>
      <c r="H5" s="5" t="s">
        <v>50</v>
      </c>
      <c r="I5" s="5" t="s">
        <v>61</v>
      </c>
      <c r="J5" s="6" t="s">
        <v>12</v>
      </c>
      <c r="K5" s="5" t="s">
        <v>53</v>
      </c>
      <c r="L5" s="5" t="s">
        <v>54</v>
      </c>
      <c r="M5" s="5" t="s">
        <v>52</v>
      </c>
      <c r="N5" s="39"/>
      <c r="O5" s="27"/>
      <c r="P5" s="6" t="s">
        <v>12</v>
      </c>
      <c r="Q5" s="6" t="s">
        <v>41</v>
      </c>
      <c r="R5" s="6" t="s">
        <v>42</v>
      </c>
      <c r="S5" s="26"/>
      <c r="T5" s="26"/>
      <c r="U5" s="6" t="s">
        <v>12</v>
      </c>
      <c r="V5" s="5" t="s">
        <v>56</v>
      </c>
      <c r="W5" s="5" t="s">
        <v>59</v>
      </c>
      <c r="X5" s="5" t="s">
        <v>15</v>
      </c>
      <c r="Y5" s="5" t="s">
        <v>58</v>
      </c>
      <c r="Z5" s="5" t="s">
        <v>57</v>
      </c>
      <c r="AA5" s="26"/>
      <c r="AB5" s="26"/>
    </row>
    <row r="6" spans="1:28" s="1" customFormat="1" ht="28.5" customHeight="1">
      <c r="A6" s="6" t="s">
        <v>7</v>
      </c>
      <c r="B6" s="7">
        <f t="shared" ref="B6:J6" si="0">SUM(B7:B15)</f>
        <v>1564.5043519999997</v>
      </c>
      <c r="C6" s="7">
        <f t="shared" si="0"/>
        <v>214.76080000000002</v>
      </c>
      <c r="D6" s="7">
        <f t="shared" ref="D6:D11" si="1">SUM(E6:I6)</f>
        <v>309.03160000000003</v>
      </c>
      <c r="E6" s="7">
        <f t="shared" si="0"/>
        <v>170.90800000000002</v>
      </c>
      <c r="F6" s="7">
        <f t="shared" si="0"/>
        <v>12.488</v>
      </c>
      <c r="G6" s="7">
        <f t="shared" si="0"/>
        <v>13.6296</v>
      </c>
      <c r="H6" s="7">
        <f t="shared" si="0"/>
        <v>45.947999999999993</v>
      </c>
      <c r="I6" s="7">
        <f t="shared" si="0"/>
        <v>66.057999999999993</v>
      </c>
      <c r="J6" s="7">
        <f t="shared" si="0"/>
        <v>52.837600000000002</v>
      </c>
      <c r="K6" s="7">
        <f t="shared" ref="K6:R6" si="2">SUM(K7:K15)</f>
        <v>18.86</v>
      </c>
      <c r="L6" s="7">
        <f t="shared" si="2"/>
        <v>5.5376000000000003</v>
      </c>
      <c r="M6" s="7">
        <f t="shared" si="2"/>
        <v>28.439999999999998</v>
      </c>
      <c r="N6" s="7">
        <f t="shared" si="2"/>
        <v>362.50700000000001</v>
      </c>
      <c r="O6" s="7">
        <f t="shared" si="2"/>
        <v>226.24455199999997</v>
      </c>
      <c r="P6" s="7">
        <f t="shared" si="2"/>
        <v>69.639507999999992</v>
      </c>
      <c r="Q6" s="7">
        <f t="shared" si="2"/>
        <v>38.024883999999993</v>
      </c>
      <c r="R6" s="7">
        <f t="shared" si="2"/>
        <v>31.614623999999996</v>
      </c>
      <c r="S6" s="7">
        <f>SUM(S7:S15)</f>
        <v>112.24655999999997</v>
      </c>
      <c r="T6" s="7">
        <f>SUM(T7:T15)</f>
        <v>44.358484000000004</v>
      </c>
      <c r="U6" s="7">
        <f t="shared" ref="U6:AA6" si="3">SUM(U7:U15)</f>
        <v>344.72280000000001</v>
      </c>
      <c r="V6" s="7">
        <f t="shared" si="3"/>
        <v>145.64759999999998</v>
      </c>
      <c r="W6" s="7">
        <f t="shared" si="3"/>
        <v>169.09560000000002</v>
      </c>
      <c r="X6" s="7">
        <f t="shared" si="3"/>
        <v>8.595600000000001</v>
      </c>
      <c r="Y6" s="7">
        <f t="shared" si="3"/>
        <v>0.6</v>
      </c>
      <c r="Z6" s="7">
        <f t="shared" si="3"/>
        <v>20.783999999999999</v>
      </c>
      <c r="AA6" s="7">
        <f t="shared" si="3"/>
        <v>54.4</v>
      </c>
      <c r="AB6" s="12"/>
    </row>
    <row r="7" spans="1:28" s="1" customFormat="1" ht="28.5" customHeight="1">
      <c r="A7" s="6" t="s">
        <v>43</v>
      </c>
      <c r="B7" s="7">
        <f t="shared" ref="B7:B12" si="4">C7+D7+J7+N7+O7+U7+AA7+AB7</f>
        <v>1030.8657439999999</v>
      </c>
      <c r="C7" s="7">
        <f>93045*12/10000</f>
        <v>111.654</v>
      </c>
      <c r="D7" s="7">
        <f t="shared" si="1"/>
        <v>181.6848</v>
      </c>
      <c r="E7" s="7">
        <f>77499*12/10000</f>
        <v>92.998800000000003</v>
      </c>
      <c r="F7" s="7">
        <f>5970*12/10000</f>
        <v>7.1639999999999997</v>
      </c>
      <c r="G7" s="7">
        <f>6386*12/10000</f>
        <v>7.6631999999999998</v>
      </c>
      <c r="H7" s="7">
        <f>30890*12/10000</f>
        <v>37.067999999999998</v>
      </c>
      <c r="I7" s="7">
        <f>30659*12/10000</f>
        <v>36.790799999999997</v>
      </c>
      <c r="J7" s="7">
        <f t="shared" ref="J7:J12" si="5">K7+L7+M7</f>
        <v>29.102399999999999</v>
      </c>
      <c r="K7" s="7">
        <f>8480*12/10000</f>
        <v>10.176</v>
      </c>
      <c r="L7" s="7">
        <f>2572*12/10000</f>
        <v>3.0863999999999998</v>
      </c>
      <c r="M7" s="7">
        <f>13200*12/10000</f>
        <v>15.84</v>
      </c>
      <c r="N7" s="7">
        <f>2333655/10000</f>
        <v>233.3655</v>
      </c>
      <c r="O7" s="7">
        <f t="shared" ref="O7:O12" si="6">P7+S7+T7</f>
        <v>138.52544399999999</v>
      </c>
      <c r="P7" s="7">
        <f t="shared" ref="P7:P12" si="7">Q7+R7</f>
        <v>48.443507999999994</v>
      </c>
      <c r="Q7" s="7">
        <f>18767.07*12/10000</f>
        <v>22.520484</v>
      </c>
      <c r="R7" s="7">
        <f>21602.52*12/10000</f>
        <v>25.923023999999998</v>
      </c>
      <c r="S7" s="7">
        <f>53620.2*12/10000</f>
        <v>64.344239999999985</v>
      </c>
      <c r="T7" s="7">
        <f>21448.08*12/10000</f>
        <v>25.737696000000003</v>
      </c>
      <c r="U7" s="7">
        <f t="shared" ref="U7:U12" si="8">V7+W7+X7+Y7+Z7</f>
        <v>288.03360000000004</v>
      </c>
      <c r="V7" s="7">
        <f>111163*12/10000</f>
        <v>133.3956</v>
      </c>
      <c r="W7" s="7">
        <f>109651*12/10000</f>
        <v>131.5812</v>
      </c>
      <c r="X7" s="7">
        <f>5734*12/10000</f>
        <v>6.8807999999999998</v>
      </c>
      <c r="Y7" s="7">
        <f>160*12/10000</f>
        <v>0.192</v>
      </c>
      <c r="Z7" s="7">
        <f>13320*12/10000</f>
        <v>15.984</v>
      </c>
      <c r="AA7" s="7">
        <v>48.5</v>
      </c>
      <c r="AB7" s="12"/>
    </row>
    <row r="8" spans="1:28" s="1" customFormat="1" ht="28.5" customHeight="1">
      <c r="A8" s="5" t="s">
        <v>44</v>
      </c>
      <c r="B8" s="7">
        <f t="shared" si="4"/>
        <v>374.08420000000007</v>
      </c>
      <c r="C8" s="7">
        <f>57769*12/10000</f>
        <v>69.322800000000001</v>
      </c>
      <c r="D8" s="7">
        <f t="shared" si="1"/>
        <v>88.067999999999998</v>
      </c>
      <c r="E8" s="7">
        <f>44790*12/10000</f>
        <v>53.747999999999998</v>
      </c>
      <c r="F8" s="7">
        <f>2980*12/10000</f>
        <v>3.5760000000000001</v>
      </c>
      <c r="G8" s="7">
        <f>3424*12/10000</f>
        <v>4.1087999999999996</v>
      </c>
      <c r="H8" s="7">
        <f>5200*12/10000</f>
        <v>6.24</v>
      </c>
      <c r="I8" s="7">
        <f>16996*12/10000</f>
        <v>20.395199999999999</v>
      </c>
      <c r="J8" s="7">
        <f t="shared" si="5"/>
        <v>16.823999999999998</v>
      </c>
      <c r="K8" s="7">
        <f>5000*12/10000</f>
        <v>6</v>
      </c>
      <c r="L8" s="7">
        <f>1520*12/10000</f>
        <v>1.8240000000000001</v>
      </c>
      <c r="M8" s="7">
        <f>7500*12/10000</f>
        <v>9</v>
      </c>
      <c r="N8" s="7">
        <f>959090/10000</f>
        <v>95.909000000000006</v>
      </c>
      <c r="O8" s="7">
        <f t="shared" si="6"/>
        <v>60.731999999999999</v>
      </c>
      <c r="P8" s="7">
        <f t="shared" si="7"/>
        <v>16.407600000000002</v>
      </c>
      <c r="Q8" s="7">
        <f>9234*12/10000</f>
        <v>11.0808</v>
      </c>
      <c r="R8" s="7">
        <f>4439*12/10000</f>
        <v>5.3268000000000004</v>
      </c>
      <c r="S8" s="7">
        <f>26384*12/10000</f>
        <v>31.660799999999998</v>
      </c>
      <c r="T8" s="7">
        <f>10553*12/10000</f>
        <v>12.663600000000001</v>
      </c>
      <c r="U8" s="7">
        <f t="shared" si="8"/>
        <v>40.628399999999999</v>
      </c>
      <c r="V8" s="7">
        <f>5330*12/10000</f>
        <v>6.3959999999999999</v>
      </c>
      <c r="W8" s="7">
        <f>24289*12/10000</f>
        <v>29.146799999999999</v>
      </c>
      <c r="X8" s="7">
        <f>1078*12/10000</f>
        <v>1.2936000000000001</v>
      </c>
      <c r="Y8" s="7">
        <f>160*12/10000</f>
        <v>0.192</v>
      </c>
      <c r="Z8" s="7">
        <f>3000*12/10000</f>
        <v>3.6</v>
      </c>
      <c r="AA8" s="7">
        <v>2.6</v>
      </c>
      <c r="AB8" s="12"/>
    </row>
    <row r="9" spans="1:28" s="1" customFormat="1" ht="30" customHeight="1">
      <c r="A9" s="5" t="s">
        <v>45</v>
      </c>
      <c r="B9" s="7">
        <f t="shared" si="4"/>
        <v>38.020399999999995</v>
      </c>
      <c r="C9" s="7">
        <f>7584*12/10000</f>
        <v>9.1007999999999996</v>
      </c>
      <c r="D9" s="7">
        <f t="shared" si="1"/>
        <v>10.458</v>
      </c>
      <c r="E9" s="7">
        <f>5313*12/10000</f>
        <v>6.3756000000000004</v>
      </c>
      <c r="F9" s="7">
        <f>300*12/10000</f>
        <v>0.36</v>
      </c>
      <c r="G9" s="7">
        <f>432*12/10000</f>
        <v>0.51839999999999997</v>
      </c>
      <c r="H9" s="7">
        <f>600*12/10000</f>
        <v>0.72</v>
      </c>
      <c r="I9" s="7">
        <f>2070*12/10000</f>
        <v>2.484</v>
      </c>
      <c r="J9" s="7">
        <f t="shared" si="5"/>
        <v>2.0015999999999998</v>
      </c>
      <c r="K9" s="7">
        <f>600*12/10000</f>
        <v>0.72</v>
      </c>
      <c r="L9" s="7">
        <f>168*12/10000</f>
        <v>0.2016</v>
      </c>
      <c r="M9" s="7">
        <f>900*12/10000</f>
        <v>1.08</v>
      </c>
      <c r="N9" s="7">
        <f>95408/10000</f>
        <v>9.5408000000000008</v>
      </c>
      <c r="O9" s="7">
        <f t="shared" si="6"/>
        <v>6.9192</v>
      </c>
      <c r="P9" s="7">
        <f t="shared" si="7"/>
        <v>1.3824000000000001</v>
      </c>
      <c r="Q9" s="7">
        <f>1152*12/10000</f>
        <v>1.3824000000000001</v>
      </c>
      <c r="R9" s="7"/>
      <c r="S9" s="7">
        <f>3294*12/10000</f>
        <v>3.9527999999999999</v>
      </c>
      <c r="T9" s="7">
        <f>1320*12/10000</f>
        <v>1.5840000000000001</v>
      </c>
      <c r="U9" s="7">
        <f t="shared" si="8"/>
        <v>0</v>
      </c>
      <c r="V9" s="7"/>
      <c r="W9" s="7"/>
      <c r="X9" s="7"/>
      <c r="Y9" s="7"/>
      <c r="Z9" s="7"/>
      <c r="AA9" s="7"/>
      <c r="AB9" s="12"/>
    </row>
    <row r="10" spans="1:28" s="1" customFormat="1" ht="30" customHeight="1">
      <c r="A10" s="5" t="s">
        <v>47</v>
      </c>
      <c r="B10" s="7">
        <f t="shared" si="4"/>
        <v>25.841899999999995</v>
      </c>
      <c r="C10" s="7">
        <v>6.62</v>
      </c>
      <c r="D10" s="7">
        <f t="shared" si="1"/>
        <v>7.0299999999999994</v>
      </c>
      <c r="E10" s="7">
        <v>4.58</v>
      </c>
      <c r="F10" s="7">
        <v>0.24</v>
      </c>
      <c r="G10" s="7">
        <v>0.3</v>
      </c>
      <c r="H10" s="7">
        <v>0.48</v>
      </c>
      <c r="I10" s="7">
        <v>1.43</v>
      </c>
      <c r="J10" s="7">
        <f t="shared" si="5"/>
        <v>1.2</v>
      </c>
      <c r="K10" s="7">
        <v>0.48</v>
      </c>
      <c r="L10" s="7"/>
      <c r="M10" s="7">
        <v>0.72</v>
      </c>
      <c r="N10" s="7">
        <v>5.67</v>
      </c>
      <c r="O10" s="7">
        <f t="shared" si="6"/>
        <v>5.3219000000000003</v>
      </c>
      <c r="P10" s="7">
        <f t="shared" si="7"/>
        <v>0.96</v>
      </c>
      <c r="Q10" s="7">
        <v>0.96</v>
      </c>
      <c r="R10" s="7"/>
      <c r="S10" s="7">
        <v>3.27</v>
      </c>
      <c r="T10" s="7">
        <v>1.0919000000000001</v>
      </c>
      <c r="U10" s="7">
        <f t="shared" si="8"/>
        <v>0</v>
      </c>
      <c r="V10" s="7"/>
      <c r="W10" s="7"/>
      <c r="X10" s="7"/>
      <c r="Y10" s="7"/>
      <c r="Z10" s="7"/>
      <c r="AA10" s="7"/>
      <c r="AB10" s="12"/>
    </row>
    <row r="11" spans="1:28" s="1" customFormat="1" ht="30" customHeight="1">
      <c r="A11" s="6" t="s">
        <v>27</v>
      </c>
      <c r="B11" s="7">
        <f t="shared" si="4"/>
        <v>48.592308000000003</v>
      </c>
      <c r="C11" s="7">
        <f>6836*12/10000</f>
        <v>8.2032000000000007</v>
      </c>
      <c r="D11" s="7">
        <f t="shared" si="1"/>
        <v>10.720800000000001</v>
      </c>
      <c r="E11" s="7">
        <f>5388*12/10000</f>
        <v>6.4656000000000002</v>
      </c>
      <c r="F11" s="7">
        <f>540*12/10000</f>
        <v>0.64800000000000002</v>
      </c>
      <c r="G11" s="7">
        <f>416*12/10000</f>
        <v>0.49919999999999998</v>
      </c>
      <c r="H11" s="7">
        <f>600*12/10000</f>
        <v>0.72</v>
      </c>
      <c r="I11" s="7">
        <f>1990*12/10000</f>
        <v>2.3879999999999999</v>
      </c>
      <c r="J11" s="7">
        <f t="shared" si="5"/>
        <v>1.6896</v>
      </c>
      <c r="K11" s="7">
        <f>620*12/10000</f>
        <v>0.74399999999999999</v>
      </c>
      <c r="L11" s="7">
        <f>188*12/10000</f>
        <v>0.22559999999999999</v>
      </c>
      <c r="M11" s="7">
        <f>600*12/10000</f>
        <v>0.72</v>
      </c>
      <c r="N11" s="7">
        <f>92817/10000</f>
        <v>9.2817000000000007</v>
      </c>
      <c r="O11" s="7">
        <f t="shared" si="6"/>
        <v>6.5362079999999994</v>
      </c>
      <c r="P11" s="7">
        <f t="shared" si="7"/>
        <v>0.96599999999999997</v>
      </c>
      <c r="Q11" s="7">
        <f>501*12/10000</f>
        <v>0.60119999999999996</v>
      </c>
      <c r="R11" s="7">
        <f>304*12/10000</f>
        <v>0.36480000000000001</v>
      </c>
      <c r="S11" s="7">
        <f>3315.6*12/10000</f>
        <v>3.9787199999999996</v>
      </c>
      <c r="T11" s="7">
        <f>1326.24*12/10000</f>
        <v>1.591488</v>
      </c>
      <c r="U11" s="7">
        <f t="shared" si="8"/>
        <v>12.160799999999998</v>
      </c>
      <c r="V11" s="7">
        <f>1630*12/10000</f>
        <v>1.956</v>
      </c>
      <c r="W11" s="7">
        <f>6973*12/10000</f>
        <v>8.3675999999999995</v>
      </c>
      <c r="X11" s="7">
        <f>351*12/10000</f>
        <v>0.42120000000000002</v>
      </c>
      <c r="Y11" s="7">
        <f>180*12/10000</f>
        <v>0.216</v>
      </c>
      <c r="Z11" s="7">
        <f>1000*12/10000</f>
        <v>1.2</v>
      </c>
      <c r="AA11" s="7"/>
      <c r="AB11" s="12"/>
    </row>
    <row r="12" spans="1:28" s="1" customFormat="1" ht="30" customHeight="1">
      <c r="A12" s="6" t="s">
        <v>28</v>
      </c>
      <c r="B12" s="7">
        <f t="shared" si="4"/>
        <v>43.799799999999998</v>
      </c>
      <c r="C12" s="7">
        <v>9.86</v>
      </c>
      <c r="D12" s="7">
        <f>SUM(E12:I12)</f>
        <v>11.07</v>
      </c>
      <c r="E12" s="7">
        <v>6.74</v>
      </c>
      <c r="F12" s="7">
        <v>0.5</v>
      </c>
      <c r="G12" s="7">
        <v>0.54</v>
      </c>
      <c r="H12" s="7">
        <v>0.72</v>
      </c>
      <c r="I12" s="7">
        <v>2.57</v>
      </c>
      <c r="J12" s="7">
        <f t="shared" si="5"/>
        <v>2.02</v>
      </c>
      <c r="K12" s="7">
        <v>0.74</v>
      </c>
      <c r="L12" s="7">
        <v>0.2</v>
      </c>
      <c r="M12" s="7">
        <v>1.08</v>
      </c>
      <c r="N12" s="7">
        <v>8.74</v>
      </c>
      <c r="O12" s="7">
        <f t="shared" si="6"/>
        <v>8.2097999999999995</v>
      </c>
      <c r="P12" s="7">
        <f t="shared" si="7"/>
        <v>1.48</v>
      </c>
      <c r="Q12" s="7">
        <v>1.48</v>
      </c>
      <c r="R12" s="7"/>
      <c r="S12" s="7">
        <v>5.04</v>
      </c>
      <c r="T12" s="7">
        <v>1.6898</v>
      </c>
      <c r="U12" s="7">
        <f t="shared" si="8"/>
        <v>3.9</v>
      </c>
      <c r="V12" s="7">
        <v>3.9</v>
      </c>
      <c r="W12" s="7"/>
      <c r="X12" s="7"/>
      <c r="Y12" s="7"/>
      <c r="Z12" s="7"/>
      <c r="AA12" s="7"/>
      <c r="AB12" s="12"/>
    </row>
    <row r="13" spans="1:28" s="1" customFormat="1" ht="30" customHeight="1">
      <c r="A13" s="6" t="s">
        <v>70</v>
      </c>
      <c r="B13" s="7">
        <v>3.3</v>
      </c>
      <c r="C13" s="6"/>
      <c r="D13" s="7"/>
      <c r="E13" s="6"/>
      <c r="F13" s="6"/>
      <c r="G13" s="6"/>
      <c r="H13" s="6"/>
      <c r="I13" s="6"/>
      <c r="J13" s="7"/>
      <c r="K13" s="6"/>
      <c r="L13" s="6"/>
      <c r="M13" s="6"/>
      <c r="N13" s="6"/>
      <c r="O13" s="7"/>
      <c r="P13" s="7"/>
      <c r="Q13" s="6"/>
      <c r="R13" s="6"/>
      <c r="S13" s="6"/>
      <c r="T13" s="6"/>
      <c r="U13" s="7"/>
      <c r="V13" s="6"/>
      <c r="W13" s="6"/>
      <c r="X13" s="6"/>
      <c r="Y13" s="6"/>
      <c r="Z13" s="6"/>
      <c r="AA13" s="6">
        <v>3.3</v>
      </c>
      <c r="AB13" s="6"/>
    </row>
    <row r="14" spans="1:28" s="1" customFormat="1" ht="30" customHeight="1">
      <c r="A14" s="6"/>
      <c r="B14" s="7"/>
      <c r="C14" s="6"/>
      <c r="D14" s="7"/>
      <c r="E14" s="6"/>
      <c r="F14" s="6"/>
      <c r="G14" s="6"/>
      <c r="H14" s="6"/>
      <c r="I14" s="6"/>
      <c r="J14" s="7"/>
      <c r="K14" s="6"/>
      <c r="L14" s="6"/>
      <c r="M14" s="6"/>
      <c r="N14" s="6"/>
      <c r="O14" s="7"/>
      <c r="P14" s="7"/>
      <c r="Q14" s="6"/>
      <c r="R14" s="6"/>
      <c r="S14" s="6"/>
      <c r="T14" s="6"/>
      <c r="U14" s="7"/>
      <c r="V14" s="6"/>
      <c r="W14" s="6"/>
      <c r="X14" s="6"/>
      <c r="Y14" s="6"/>
      <c r="Z14" s="6"/>
      <c r="AA14" s="6"/>
      <c r="AB14" s="6"/>
    </row>
    <row r="15" spans="1:28" s="1" customFormat="1" ht="30" customHeight="1">
      <c r="A15" s="6"/>
      <c r="B15" s="7"/>
      <c r="C15" s="6"/>
      <c r="D15" s="7"/>
      <c r="E15" s="6"/>
      <c r="F15" s="6"/>
      <c r="G15" s="6"/>
      <c r="H15" s="6"/>
      <c r="I15" s="6"/>
      <c r="J15" s="7"/>
      <c r="K15" s="6"/>
      <c r="L15" s="6"/>
      <c r="M15" s="6"/>
      <c r="N15" s="6"/>
      <c r="O15" s="7"/>
      <c r="P15" s="7"/>
      <c r="Q15" s="6"/>
      <c r="R15" s="6"/>
      <c r="S15" s="6"/>
      <c r="T15" s="6"/>
      <c r="U15" s="7"/>
      <c r="V15" s="6"/>
      <c r="W15" s="6"/>
      <c r="X15" s="6"/>
      <c r="Y15" s="6"/>
      <c r="Z15" s="6"/>
      <c r="AA15" s="6"/>
      <c r="AB15" s="6"/>
    </row>
    <row r="16" spans="1:28" s="1" customFormat="1"/>
    <row r="17" s="1" customFormat="1"/>
  </sheetData>
  <mergeCells count="16">
    <mergeCell ref="A1:AB1"/>
    <mergeCell ref="D3:M3"/>
    <mergeCell ref="O3:T3"/>
    <mergeCell ref="D4:I4"/>
    <mergeCell ref="J4:M4"/>
    <mergeCell ref="P4:R4"/>
    <mergeCell ref="A3:A5"/>
    <mergeCell ref="B3:B5"/>
    <mergeCell ref="C3:C5"/>
    <mergeCell ref="N3:N5"/>
    <mergeCell ref="AB3:AB5"/>
    <mergeCell ref="U3:Z4"/>
    <mergeCell ref="O4:O5"/>
    <mergeCell ref="S4:S5"/>
    <mergeCell ref="T4:T5"/>
    <mergeCell ref="AA3:AA5"/>
  </mergeCells>
  <phoneticPr fontId="6" type="noConversion"/>
  <printOptions horizontalCentered="1"/>
  <pageMargins left="0.27559055118110237" right="0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部门预算预算内支出表(表一）</vt:lpstr>
      <vt:lpstr>人员经费表（表二）</vt:lpstr>
    </vt:vector>
  </TitlesOfParts>
  <Company>WwW.YlmF.CoM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yxdl</dc:creator>
  <cp:lastModifiedBy>Administrator</cp:lastModifiedBy>
  <cp:revision/>
  <cp:lastPrinted>2016-11-25T01:31:23Z</cp:lastPrinted>
  <dcterms:created xsi:type="dcterms:W3CDTF">2013-01-21T08:03:12Z</dcterms:created>
  <dcterms:modified xsi:type="dcterms:W3CDTF">2017-10-26T07:02:23Z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